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 1" sheetId="1" r:id="rId4"/>
  </sheets>
</workbook>
</file>

<file path=xl/sharedStrings.xml><?xml version="1.0" encoding="utf-8"?>
<sst xmlns="http://schemas.openxmlformats.org/spreadsheetml/2006/main" uniqueCount="97">
  <si>
    <t>Table 1</t>
  </si>
  <si>
    <t>PACE</t>
  </si>
  <si>
    <t>Guthook Trail Mile</t>
  </si>
  <si>
    <t>CDTC Trail Mile</t>
  </si>
  <si>
    <t>HWA Trail Mile</t>
  </si>
  <si>
    <t>Name</t>
  </si>
  <si>
    <t>Guthook Days</t>
  </si>
  <si>
    <t>CDTC Days</t>
  </si>
  <si>
    <t>HWA Days</t>
  </si>
  <si>
    <t>Miles</t>
  </si>
  <si>
    <t>Miles off trail</t>
  </si>
  <si>
    <t>Amenities</t>
  </si>
  <si>
    <t>Notes</t>
  </si>
  <si>
    <t>Border</t>
  </si>
  <si>
    <t>LEGEND</t>
  </si>
  <si>
    <t>Lordsburg</t>
  </si>
  <si>
    <t>PGLHM</t>
  </si>
  <si>
    <t>P - Post Office</t>
  </si>
  <si>
    <t>Silver City</t>
  </si>
  <si>
    <t>PGLOHM</t>
  </si>
  <si>
    <t>G - grocery</t>
  </si>
  <si>
    <t>Doc Campbell's(m)</t>
  </si>
  <si>
    <t>LH</t>
  </si>
  <si>
    <t>USPS take Gila River Alt, saves 69/74mi</t>
  </si>
  <si>
    <t>g - snacks</t>
  </si>
  <si>
    <t>Pie Town(m)</t>
  </si>
  <si>
    <t>PH</t>
  </si>
  <si>
    <t>Pie-O-Neer </t>
  </si>
  <si>
    <t>L - laundry</t>
  </si>
  <si>
    <t>Grants</t>
  </si>
  <si>
    <t>Super 8 take Bonita-Zuni alternate go climb Mount Taylor!</t>
  </si>
  <si>
    <t>H - hotel</t>
  </si>
  <si>
    <t>Cuba</t>
  </si>
  <si>
    <t>PGHLM</t>
  </si>
  <si>
    <t>M - medical</t>
  </si>
  <si>
    <t>Chama v/ Cumbres</t>
  </si>
  <si>
    <t>PGHL</t>
  </si>
  <si>
    <t>Y Motel SEND SNOW GEAR HERE</t>
  </si>
  <si>
    <t>O - outfitter</t>
  </si>
  <si>
    <t>Pagoas Springs v/ Wolf Creek</t>
  </si>
  <si>
    <t>PGHLOM</t>
  </si>
  <si>
    <t>Pinewood Inn</t>
  </si>
  <si>
    <t>(m) - mail resupply</t>
  </si>
  <si>
    <t>Lake City v/ Spring Creek</t>
  </si>
  <si>
    <t>Salida v/ Monarch</t>
  </si>
  <si>
    <t>San Luis Peak Alt try and get enough to skip Twin Lakes and Leadville?</t>
  </si>
  <si>
    <t>or on trail Monarch Mountain Lodge(m)</t>
  </si>
  <si>
    <t>Twin Lake v/ HWY82</t>
  </si>
  <si>
    <t>gH</t>
  </si>
  <si>
    <t>go climb Mount Elbert! expensive</t>
  </si>
  <si>
    <t>skip?</t>
  </si>
  <si>
    <t>Leadville v/ Tennesse</t>
  </si>
  <si>
    <t>Breckenridge v/HWY9</t>
  </si>
  <si>
    <t>free bus to town Argentine Spine Alt</t>
  </si>
  <si>
    <t>Winter Park v/ Berthoud</t>
  </si>
  <si>
    <t>PgHM</t>
  </si>
  <si>
    <t>possible go to Fraser(just 4mi more N) for better resupply/cheaper rooms</t>
  </si>
  <si>
    <t>Grand Lake</t>
  </si>
  <si>
    <t>PGHLO</t>
  </si>
  <si>
    <t>chance for some off-route w/ Ley + Mount Eva</t>
  </si>
  <si>
    <t>Steamboat Spring v/ Rabbit Ears</t>
  </si>
  <si>
    <t>day hike through RMNP loop Ski Haus</t>
  </si>
  <si>
    <t>Encampment v/ Battle Pass(m)</t>
  </si>
  <si>
    <t>PgHL</t>
  </si>
  <si>
    <t>Rawlins</t>
  </si>
  <si>
    <t>Lander v/ HWY28</t>
  </si>
  <si>
    <t>free camping in city park</t>
  </si>
  <si>
    <t>or on trail South Pass City(m)</t>
  </si>
  <si>
    <t>Pinedale v/ Seneca Lake</t>
  </si>
  <si>
    <t>Cirque of Towers Alt Jackalope Motor Lodge</t>
  </si>
  <si>
    <t>Dubois v/ Togwotee Pass</t>
  </si>
  <si>
    <t>Knapsack Col Alt </t>
  </si>
  <si>
    <t>skip? or on trail Brooks Lake Lodge(m)</t>
  </si>
  <si>
    <t>Old Faithful Village</t>
  </si>
  <si>
    <t>PgHLO</t>
  </si>
  <si>
    <t>Call for Yellowstone permits Old Faithful Inn</t>
  </si>
  <si>
    <t>Island Park</t>
  </si>
  <si>
    <t>take Mack's Inn Cutoff, saves 37mi</t>
  </si>
  <si>
    <t>Lima(m) v/ I-15</t>
  </si>
  <si>
    <t xml:space="preserve">Mountain View Motel shuttle (406) 276-3535 </t>
  </si>
  <si>
    <t>Leadore v/ Bannock(m)</t>
  </si>
  <si>
    <t>Possible shuttle to/from trail from Sam at Leadore Inn for a fee.</t>
  </si>
  <si>
    <t>Darby v/ Chief Joseph</t>
  </si>
  <si>
    <t>Walk up to intersection for hitch(Lost Trail Pass)</t>
  </si>
  <si>
    <t>Anaconda v/ HWY569</t>
  </si>
  <si>
    <t>take Anaconda cutoff saves 85/87mi to Helena hiker hut in town(call for code)</t>
  </si>
  <si>
    <t>Helena v/ MacDonald Pass</t>
  </si>
  <si>
    <t>Vigilante Shuttles $12.95 to town 406-475-2704 Budget Inn Express</t>
  </si>
  <si>
    <t>3.7mi Butte instead?</t>
  </si>
  <si>
    <t>Lincoln v/ Rogers Pass</t>
  </si>
  <si>
    <t>PGH</t>
  </si>
  <si>
    <t>Blue Sky Motel shuttle or call Gary 406-362-4781.</t>
  </si>
  <si>
    <t>Augusta</t>
  </si>
  <si>
    <t>call for Glacier permits Bunkhouse Inn may shuttle back to trail for a fee.</t>
  </si>
  <si>
    <t>East Glacier Village(m)</t>
  </si>
  <si>
    <t>PgHO</t>
  </si>
  <si>
    <t>Canada</t>
  </si>
</sst>
</file>

<file path=xl/styles.xml><?xml version="1.0" encoding="utf-8"?>
<styleSheet xmlns="http://schemas.openxmlformats.org/spreadsheetml/2006/main">
  <numFmts count="1">
    <numFmt numFmtId="0" formatCode="General"/>
  </numFmts>
  <fonts count="3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20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vertical="top" wrapText="1"/>
    </xf>
    <xf numFmtId="0" fontId="2" fillId="2" borderId="1" applyNumberFormat="0" applyFont="1" applyFill="1" applyBorder="1" applyAlignment="1" applyProtection="0">
      <alignment vertical="top" wrapText="1"/>
    </xf>
    <xf numFmtId="0" fontId="2" fillId="3" borderId="2" applyNumberFormat="1" applyFont="1" applyFill="1" applyBorder="1" applyAlignment="1" applyProtection="0">
      <alignment vertical="top" wrapText="1"/>
    </xf>
    <xf numFmtId="0" fontId="2" fillId="3" borderId="3" applyNumberFormat="1" applyFont="1" applyFill="1" applyBorder="1" applyAlignment="1" applyProtection="0">
      <alignment vertical="top" wrapText="1"/>
    </xf>
    <xf numFmtId="49" fontId="0" borderId="4" applyNumberFormat="1" applyFont="1" applyFill="0" applyBorder="1" applyAlignment="1" applyProtection="0">
      <alignment vertical="top" wrapText="1"/>
    </xf>
    <xf numFmtId="0" fontId="0" borderId="2" applyNumberFormat="1" applyFont="1" applyFill="0" applyBorder="1" applyAlignment="1" applyProtection="0">
      <alignment vertical="top" wrapText="1"/>
    </xf>
    <xf numFmtId="0" fontId="0" borderId="2" applyNumberFormat="0" applyFont="1" applyFill="0" applyBorder="1" applyAlignment="1" applyProtection="0">
      <alignment vertical="top" wrapText="1"/>
    </xf>
    <xf numFmtId="49" fontId="0" borderId="2" applyNumberFormat="1" applyFont="1" applyFill="0" applyBorder="1" applyAlignment="1" applyProtection="0">
      <alignment vertical="top" wrapText="1"/>
    </xf>
    <xf numFmtId="0" fontId="2" fillId="3" borderId="5" applyNumberFormat="0" applyFont="1" applyFill="1" applyBorder="1" applyAlignment="1" applyProtection="0">
      <alignment vertical="top" wrapText="1"/>
    </xf>
    <xf numFmtId="0" fontId="2" fillId="3" borderId="5" applyNumberFormat="1" applyFont="1" applyFill="1" applyBorder="1" applyAlignment="1" applyProtection="0">
      <alignment vertical="top" wrapText="1"/>
    </xf>
    <xf numFmtId="0" fontId="2" fillId="3" borderId="6" applyNumberFormat="1" applyFont="1" applyFill="1" applyBorder="1" applyAlignment="1" applyProtection="0">
      <alignment vertical="top" wrapText="1"/>
    </xf>
    <xf numFmtId="49" fontId="0" borderId="7" applyNumberFormat="1" applyFont="1" applyFill="0" applyBorder="1" applyAlignment="1" applyProtection="0">
      <alignment vertical="top" wrapText="1"/>
    </xf>
    <xf numFmtId="0" fontId="0" borderId="5" applyNumberFormat="1" applyFont="1" applyFill="0" applyBorder="1" applyAlignment="1" applyProtection="0">
      <alignment vertical="top" wrapText="1"/>
    </xf>
    <xf numFmtId="49" fontId="0" borderId="5" applyNumberFormat="1" applyFont="1" applyFill="0" applyBorder="1" applyAlignment="1" applyProtection="0">
      <alignment vertical="top" wrapText="1"/>
    </xf>
    <xf numFmtId="0" fontId="0" borderId="5" applyNumberFormat="0" applyFont="1" applyFill="0" applyBorder="1" applyAlignment="1" applyProtection="0">
      <alignment vertical="top" wrapText="1"/>
    </xf>
    <xf numFmtId="0" fontId="2" fillId="3" borderId="6" applyNumberFormat="0" applyFont="1" applyFill="1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2:N36"/>
  <sheetViews>
    <sheetView workbookViewId="0" showGridLines="0" defaultGridColor="1">
      <pane topLeftCell="E3" xSplit="4" ySplit="2" activePane="bottomRight" state="frozen"/>
    </sheetView>
  </sheetViews>
  <sheetFormatPr defaultColWidth="16.3333" defaultRowHeight="19.9" customHeight="1" outlineLevelRow="0" outlineLevelCol="0"/>
  <cols>
    <col min="1" max="1" width="6.07812" style="1" customWidth="1"/>
    <col min="2" max="2" width="8.90625" style="1" customWidth="1"/>
    <col min="3" max="3" width="6.32031" style="1" customWidth="1"/>
    <col min="4" max="4" width="6.76562" style="1" customWidth="1"/>
    <col min="5" max="5" width="15.0547" style="1" customWidth="1"/>
    <col min="6" max="6" width="8.90625" style="1" customWidth="1"/>
    <col min="7" max="7" width="6.72656" style="1" customWidth="1"/>
    <col min="8" max="8" width="5.57812" style="1" customWidth="1"/>
    <col min="9" max="10" width="6.00781" style="1" customWidth="1"/>
    <col min="11" max="11" width="9.40625" style="1" customWidth="1"/>
    <col min="12" max="12" width="28.0703" style="1" customWidth="1"/>
    <col min="13" max="14" width="16.3516" style="1" customWidth="1"/>
    <col min="15" max="16384" width="16.3516" style="1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44.25" customHeight="1">
      <c r="A2" t="s" s="3">
        <v>1</v>
      </c>
      <c r="B2" t="s" s="3">
        <v>2</v>
      </c>
      <c r="C2" t="s" s="3">
        <v>3</v>
      </c>
      <c r="D2" t="s" s="3">
        <v>4</v>
      </c>
      <c r="E2" t="s" s="3">
        <v>5</v>
      </c>
      <c r="F2" t="s" s="3">
        <v>6</v>
      </c>
      <c r="G2" t="s" s="3">
        <v>7</v>
      </c>
      <c r="H2" t="s" s="3">
        <v>8</v>
      </c>
      <c r="I2" t="s" s="3">
        <v>9</v>
      </c>
      <c r="J2" t="s" s="3">
        <v>10</v>
      </c>
      <c r="K2" t="s" s="3">
        <v>11</v>
      </c>
      <c r="L2" t="s" s="3">
        <v>12</v>
      </c>
      <c r="M2" s="4"/>
      <c r="N2" s="4"/>
    </row>
    <row r="3" ht="20.25" customHeight="1">
      <c r="A3" s="5">
        <v>25</v>
      </c>
      <c r="B3" s="5">
        <v>0</v>
      </c>
      <c r="C3" s="5">
        <v>0</v>
      </c>
      <c r="D3" s="6">
        <v>0</v>
      </c>
      <c r="E3" t="s" s="7">
        <v>13</v>
      </c>
      <c r="F3" s="8">
        <v>0</v>
      </c>
      <c r="G3" s="8">
        <v>0</v>
      </c>
      <c r="H3" s="8">
        <v>0</v>
      </c>
      <c r="I3" s="8">
        <v>0</v>
      </c>
      <c r="J3" s="8">
        <v>0</v>
      </c>
      <c r="K3" s="9"/>
      <c r="L3" s="9"/>
      <c r="M3" s="9"/>
      <c r="N3" t="s" s="10">
        <v>14</v>
      </c>
    </row>
    <row r="4" ht="20.05" customHeight="1">
      <c r="A4" s="11"/>
      <c r="B4" s="12">
        <v>84</v>
      </c>
      <c r="C4" s="12">
        <v>85.5</v>
      </c>
      <c r="D4" s="13">
        <v>84</v>
      </c>
      <c r="E4" t="s" s="14">
        <v>15</v>
      </c>
      <c r="F4" s="15">
        <f>ROUND(($B4-$B3+J4)/$A$3,1)</f>
        <v>3.4</v>
      </c>
      <c r="G4" s="15">
        <f>ROUND(($C4-$C3+J4)/$A$3,1)</f>
        <v>3.4</v>
      </c>
      <c r="H4" s="15">
        <f>ROUND(($D4-$D3+J4)/$A$3,1)</f>
        <v>3.4</v>
      </c>
      <c r="I4" s="15">
        <f>ROUND(AVERAGE($B4,$D4)-AVERAGE($B3,$D3),1)</f>
        <v>84</v>
      </c>
      <c r="J4" s="15">
        <v>0</v>
      </c>
      <c r="K4" t="s" s="16">
        <v>16</v>
      </c>
      <c r="L4" s="17"/>
      <c r="M4" s="17"/>
      <c r="N4" t="s" s="16">
        <v>17</v>
      </c>
    </row>
    <row r="5" ht="20.05" customHeight="1">
      <c r="A5" s="11"/>
      <c r="B5" s="12">
        <v>157.7</v>
      </c>
      <c r="C5" s="12">
        <v>161.5</v>
      </c>
      <c r="D5" s="13">
        <v>158</v>
      </c>
      <c r="E5" t="s" s="14">
        <v>18</v>
      </c>
      <c r="F5" s="15">
        <f>ROUND(($B5-$B4+J5)/$A$3,1)</f>
        <v>2.9</v>
      </c>
      <c r="G5" s="15">
        <f>ROUND(($C5-$C4+J5)/$A$3,1)</f>
        <v>3</v>
      </c>
      <c r="H5" s="15">
        <f>ROUND(($D5-$D4+J5)/$A$3,1)</f>
        <v>3</v>
      </c>
      <c r="I5" s="15">
        <f>ROUND(AVERAGE($B5,$D5)-AVERAGE($B4,$D4),1)</f>
        <v>73.90000000000001</v>
      </c>
      <c r="J5" s="15">
        <v>0</v>
      </c>
      <c r="K5" t="s" s="16">
        <v>19</v>
      </c>
      <c r="L5" s="17"/>
      <c r="M5" s="17"/>
      <c r="N5" t="s" s="16">
        <v>20</v>
      </c>
    </row>
    <row r="6" ht="32.05" customHeight="1">
      <c r="A6" s="11"/>
      <c r="B6" s="11"/>
      <c r="C6" s="11"/>
      <c r="D6" s="18"/>
      <c r="E6" t="s" s="14">
        <v>21</v>
      </c>
      <c r="F6" s="15">
        <f>ROUND((49.3+J6)/$A$3,1)</f>
        <v>2</v>
      </c>
      <c r="G6" s="15">
        <f>ROUND((49.6+J6)/$A$3,1)</f>
        <v>2</v>
      </c>
      <c r="H6" s="15">
        <v>2</v>
      </c>
      <c r="I6" s="15">
        <v>49</v>
      </c>
      <c r="J6" s="15">
        <v>0</v>
      </c>
      <c r="K6" t="s" s="16">
        <v>22</v>
      </c>
      <c r="L6" t="s" s="16">
        <v>23</v>
      </c>
      <c r="M6" s="17"/>
      <c r="N6" t="s" s="16">
        <v>24</v>
      </c>
    </row>
    <row r="7" ht="32.05" customHeight="1">
      <c r="A7" s="11"/>
      <c r="B7" s="12">
        <v>414.2</v>
      </c>
      <c r="C7" s="12">
        <v>424.5</v>
      </c>
      <c r="D7" s="13">
        <v>415</v>
      </c>
      <c r="E7" t="s" s="14">
        <v>25</v>
      </c>
      <c r="F7" s="15">
        <f>ROUND((137.9+J7)/$A$3,1)</f>
        <v>5.5</v>
      </c>
      <c r="G7" s="15">
        <f>ROUND((139.3+J7)/$A$3,1)</f>
        <v>5.6</v>
      </c>
      <c r="H7" s="15">
        <f>ROUND((138.7+J7)/$A$3,1)</f>
        <v>5.5</v>
      </c>
      <c r="I7" s="15">
        <v>138</v>
      </c>
      <c r="J7" s="15">
        <v>0</v>
      </c>
      <c r="K7" t="s" s="16">
        <v>26</v>
      </c>
      <c r="L7" t="s" s="16">
        <v>27</v>
      </c>
      <c r="M7" s="17"/>
      <c r="N7" t="s" s="16">
        <v>28</v>
      </c>
    </row>
    <row r="8" ht="44.05" customHeight="1">
      <c r="A8" s="11"/>
      <c r="B8" s="12">
        <v>524.7</v>
      </c>
      <c r="C8" s="12">
        <v>535.5</v>
      </c>
      <c r="D8" s="13">
        <v>525</v>
      </c>
      <c r="E8" t="s" s="14">
        <v>29</v>
      </c>
      <c r="F8" s="15">
        <f>ROUND(($B8-$B7+J8)/$A$3,1)</f>
        <v>4.4</v>
      </c>
      <c r="G8" s="15">
        <f>ROUND(($C8-$C7+J8)/$A$3,1)</f>
        <v>4.4</v>
      </c>
      <c r="H8" s="15">
        <f>ROUND(($D8-$D7+J8)/$A$3,1)</f>
        <v>4.4</v>
      </c>
      <c r="I8" s="15">
        <f>ROUND(AVERAGE($B8,$D8)-AVERAGE($B7,$D7),1)</f>
        <v>110.3</v>
      </c>
      <c r="J8" s="15">
        <v>0</v>
      </c>
      <c r="K8" t="s" s="16">
        <v>16</v>
      </c>
      <c r="L8" t="s" s="16">
        <v>30</v>
      </c>
      <c r="M8" s="17"/>
      <c r="N8" t="s" s="16">
        <v>31</v>
      </c>
    </row>
    <row r="9" ht="20.05" customHeight="1">
      <c r="A9" s="11"/>
      <c r="B9" s="12">
        <v>628.9</v>
      </c>
      <c r="C9" s="12">
        <v>643.2</v>
      </c>
      <c r="D9" s="13">
        <v>629</v>
      </c>
      <c r="E9" t="s" s="14">
        <v>32</v>
      </c>
      <c r="F9" s="15">
        <f>ROUND(($B9-$B8+J9)/$A$3,1)</f>
        <v>4.2</v>
      </c>
      <c r="G9" s="15">
        <f>ROUND(($C9-$C8+J9)/$A$3,1)</f>
        <v>4.3</v>
      </c>
      <c r="H9" s="15">
        <f>ROUND(($D9-$D8+J9)/$A$3,1)</f>
        <v>4.2</v>
      </c>
      <c r="I9" s="15">
        <f>ROUND(AVERAGE($B9,$D9)-AVERAGE($B8,$D8),1)</f>
        <v>104.1</v>
      </c>
      <c r="J9" s="15">
        <v>0</v>
      </c>
      <c r="K9" t="s" s="16">
        <v>33</v>
      </c>
      <c r="L9" s="17"/>
      <c r="M9" s="17"/>
      <c r="N9" t="s" s="16">
        <v>34</v>
      </c>
    </row>
    <row r="10" ht="32.05" customHeight="1">
      <c r="A10" s="11"/>
      <c r="B10" s="12">
        <v>776.4</v>
      </c>
      <c r="C10" s="12">
        <v>2.25</v>
      </c>
      <c r="D10" s="13">
        <v>776.4</v>
      </c>
      <c r="E10" t="s" s="14">
        <v>35</v>
      </c>
      <c r="F10" s="15">
        <f>ROUND(($B10-$B9+J10)/$A$3,1)</f>
        <v>6.4</v>
      </c>
      <c r="G10" s="15">
        <f>ROUND(($C10-$C9+J10+794.5)/$A$3,1)</f>
        <v>6.6</v>
      </c>
      <c r="H10" s="15">
        <f>ROUND(($D10-$D9+J10)/$A$3,1)</f>
        <v>6.4</v>
      </c>
      <c r="I10" s="15">
        <f>ROUND(AVERAGE($B10,$D10)-AVERAGE($B9,$D9),1)</f>
        <v>147.5</v>
      </c>
      <c r="J10" s="15">
        <v>12</v>
      </c>
      <c r="K10" t="s" s="16">
        <v>36</v>
      </c>
      <c r="L10" t="s" s="16">
        <v>37</v>
      </c>
      <c r="M10" s="17"/>
      <c r="N10" t="s" s="16">
        <v>38</v>
      </c>
    </row>
    <row r="11" ht="32.05" customHeight="1">
      <c r="A11" s="11"/>
      <c r="B11" s="12">
        <v>844.1</v>
      </c>
      <c r="C11" s="12">
        <v>75.3</v>
      </c>
      <c r="D11" s="13">
        <v>847</v>
      </c>
      <c r="E11" t="s" s="14">
        <v>39</v>
      </c>
      <c r="F11" s="15">
        <f>ROUND(($B11-$B10+J11)/$A$3,1)</f>
        <v>3.6</v>
      </c>
      <c r="G11" s="15">
        <f>ROUND(($C11-$C10+J11)/$A$3,1)</f>
        <v>3.8</v>
      </c>
      <c r="H11" s="15">
        <f>ROUND(($D11-$D10+J11)/$A$3,1)</f>
        <v>3.7</v>
      </c>
      <c r="I11" s="15">
        <f>ROUND(AVERAGE($B11,$D11)-AVERAGE($B10,$D10),1)</f>
        <v>69.2</v>
      </c>
      <c r="J11" s="15">
        <v>23</v>
      </c>
      <c r="K11" t="s" s="16">
        <v>40</v>
      </c>
      <c r="L11" t="s" s="16">
        <v>41</v>
      </c>
      <c r="M11" s="17"/>
      <c r="N11" t="s" s="16">
        <v>42</v>
      </c>
    </row>
    <row r="12" ht="32.05" customHeight="1">
      <c r="A12" s="11"/>
      <c r="B12" s="12">
        <v>959</v>
      </c>
      <c r="C12" s="12">
        <v>189.4</v>
      </c>
      <c r="D12" s="13">
        <v>961</v>
      </c>
      <c r="E12" t="s" s="14">
        <v>43</v>
      </c>
      <c r="F12" s="15">
        <f>ROUND(($B12-$B11+J12)/$A$3,1)</f>
        <v>5.3</v>
      </c>
      <c r="G12" s="15">
        <f>ROUND(($C12-$C11+J12)/$A$3,1)</f>
        <v>5.2</v>
      </c>
      <c r="H12" s="15">
        <f>ROUND(($D12-$D11+J12)/$A$3,1)</f>
        <v>5.2</v>
      </c>
      <c r="I12" s="15">
        <f>ROUND(AVERAGE($B12,$D12)-AVERAGE($B11,$D11),1)</f>
        <v>114.5</v>
      </c>
      <c r="J12" s="15">
        <v>17</v>
      </c>
      <c r="K12" t="s" s="16">
        <v>40</v>
      </c>
      <c r="L12" s="17"/>
      <c r="M12" s="17"/>
      <c r="N12" s="17"/>
    </row>
    <row r="13" ht="44.05" customHeight="1">
      <c r="A13" s="11"/>
      <c r="B13" s="12">
        <v>1058.1</v>
      </c>
      <c r="C13" s="12">
        <v>289.5</v>
      </c>
      <c r="D13" s="13">
        <v>1061</v>
      </c>
      <c r="E13" t="s" s="14">
        <v>44</v>
      </c>
      <c r="F13" s="15">
        <f>ROUND(($B13-$B12+J13)/$A$3,1)</f>
        <v>4.8</v>
      </c>
      <c r="G13" s="15">
        <f>ROUND(($C13-$C12+J13)/$A$3,1)</f>
        <v>4.9</v>
      </c>
      <c r="H13" s="15">
        <f>ROUND(($D13-$D12+J13)/$A$3,1)</f>
        <v>4.9</v>
      </c>
      <c r="I13" s="15">
        <f>ROUND(AVERAGE($B13,$D13)-AVERAGE($B12,$D12),1)</f>
        <v>99.59999999999999</v>
      </c>
      <c r="J13" s="15">
        <v>22</v>
      </c>
      <c r="K13" t="s" s="16">
        <v>40</v>
      </c>
      <c r="L13" t="s" s="16">
        <v>45</v>
      </c>
      <c r="M13" t="s" s="16">
        <v>46</v>
      </c>
      <c r="N13" s="17"/>
    </row>
    <row r="14" ht="32.05" customHeight="1">
      <c r="A14" s="11"/>
      <c r="B14" s="12">
        <v>1139.2</v>
      </c>
      <c r="C14" s="12">
        <v>372.5</v>
      </c>
      <c r="D14" s="13">
        <v>1144</v>
      </c>
      <c r="E14" t="s" s="14">
        <v>47</v>
      </c>
      <c r="F14" s="15">
        <f>ROUND(($B14-$B13+J14)/$A$3,1)</f>
        <v>3.3</v>
      </c>
      <c r="G14" s="15">
        <f>ROUND(($C14-$C13+J14)/$A$3,1)</f>
        <v>3.4</v>
      </c>
      <c r="H14" s="15">
        <f>ROUND(($D14-$D13+J14)/$A$3,1)</f>
        <v>3.4</v>
      </c>
      <c r="I14" s="15">
        <f>ROUND(AVERAGE($B14,$D14)-AVERAGE($B13,$D13),1)</f>
        <v>82.09999999999999</v>
      </c>
      <c r="J14" s="15">
        <v>1.5</v>
      </c>
      <c r="K14" t="s" s="16">
        <v>48</v>
      </c>
      <c r="L14" t="s" s="16">
        <v>49</v>
      </c>
      <c r="M14" t="s" s="16">
        <v>50</v>
      </c>
      <c r="N14" s="17"/>
    </row>
    <row r="15" ht="32.05" customHeight="1">
      <c r="A15" s="11"/>
      <c r="B15" s="12">
        <v>1172.4</v>
      </c>
      <c r="C15" s="12">
        <v>406.25</v>
      </c>
      <c r="D15" s="13">
        <v>1181</v>
      </c>
      <c r="E15" t="s" s="14">
        <v>51</v>
      </c>
      <c r="F15" s="15">
        <f>ROUND(($B15-$B14+J15)/$A$3,1)</f>
        <v>1.8</v>
      </c>
      <c r="G15" s="15">
        <f>ROUND(($C15-$C14+J15)/$A$3,1)</f>
        <v>1.8</v>
      </c>
      <c r="H15" s="15">
        <f>ROUND(($D15-$D14+J15)/$A$3,1)</f>
        <v>1.9</v>
      </c>
      <c r="I15" s="15">
        <f>ROUND(AVERAGE($B15,$D15)-AVERAGE($B14,$D14),1)</f>
        <v>35.1</v>
      </c>
      <c r="J15" s="15">
        <v>11</v>
      </c>
      <c r="K15" t="s" s="16">
        <v>40</v>
      </c>
      <c r="L15" s="17"/>
      <c r="M15" t="s" s="16">
        <v>50</v>
      </c>
      <c r="N15" s="17"/>
    </row>
    <row r="16" ht="32.05" customHeight="1">
      <c r="A16" s="11"/>
      <c r="B16" s="12">
        <v>1209.9</v>
      </c>
      <c r="C16" s="12">
        <v>444</v>
      </c>
      <c r="D16" s="13">
        <v>1216</v>
      </c>
      <c r="E16" t="s" s="14">
        <v>52</v>
      </c>
      <c r="F16" s="15">
        <f>ROUND(($B16-$B15+J16)/$A$3,1)</f>
        <v>1.7</v>
      </c>
      <c r="G16" s="15">
        <f>ROUND(($C16-$C15+J16)/$A$3,1)</f>
        <v>1.7</v>
      </c>
      <c r="H16" s="15">
        <f>ROUND(($D16-$D15+J16)/$A$3,1)</f>
        <v>1.6</v>
      </c>
      <c r="I16" s="15">
        <f>ROUND(AVERAGE($B16,$D16)-AVERAGE($B15,$D15),1)</f>
        <v>36.3</v>
      </c>
      <c r="J16" s="15">
        <v>5</v>
      </c>
      <c r="K16" t="s" s="16">
        <v>40</v>
      </c>
      <c r="L16" t="s" s="16">
        <v>53</v>
      </c>
      <c r="M16" s="17"/>
      <c r="N16" s="17"/>
    </row>
    <row r="17" ht="44.05" customHeight="1">
      <c r="A17" s="11"/>
      <c r="B17" s="12">
        <v>1283.8</v>
      </c>
      <c r="C17" s="12">
        <v>519</v>
      </c>
      <c r="D17" s="13">
        <v>1290</v>
      </c>
      <c r="E17" t="s" s="14">
        <v>54</v>
      </c>
      <c r="F17" s="15">
        <f>ROUND(($B17-$B16+J17)/$A$3,1)</f>
        <v>3.4</v>
      </c>
      <c r="G17" s="15">
        <f>ROUND(($C17-$C16+J17)/$A$3,1)</f>
        <v>3.5</v>
      </c>
      <c r="H17" s="15">
        <f>ROUND(($D17-$D16+J17)/$A$3,1)</f>
        <v>3.4</v>
      </c>
      <c r="I17" s="15">
        <f>ROUND(AVERAGE($B17,$D17)-AVERAGE($B16,$D16),1)</f>
        <v>74</v>
      </c>
      <c r="J17" s="15">
        <v>12</v>
      </c>
      <c r="K17" t="s" s="16">
        <v>55</v>
      </c>
      <c r="L17" t="s" s="16">
        <v>56</v>
      </c>
      <c r="M17" t="s" s="16">
        <v>50</v>
      </c>
      <c r="N17" s="17"/>
    </row>
    <row r="18" ht="32.05" customHeight="1">
      <c r="A18" s="11"/>
      <c r="B18" s="12">
        <v>1337.6</v>
      </c>
      <c r="C18" s="12">
        <v>574.5</v>
      </c>
      <c r="D18" s="13">
        <v>1343</v>
      </c>
      <c r="E18" t="s" s="14">
        <v>57</v>
      </c>
      <c r="F18" s="15">
        <f>ROUND(($B18-$B17+J18)/$A$3,1)</f>
        <v>2.2</v>
      </c>
      <c r="G18" s="15">
        <f>ROUND(($C18-$C17+J18)/$A$3,1)</f>
        <v>2.2</v>
      </c>
      <c r="H18" s="15">
        <f>ROUND(($D18-$D17+J18)/$A$3,1)</f>
        <v>2.1</v>
      </c>
      <c r="I18" s="15">
        <f>ROUND(AVERAGE($B18,$D18)-AVERAGE($B17,$D17),1)</f>
        <v>53.4</v>
      </c>
      <c r="J18" s="15">
        <v>0</v>
      </c>
      <c r="K18" t="s" s="16">
        <v>58</v>
      </c>
      <c r="L18" t="s" s="16">
        <v>59</v>
      </c>
      <c r="M18" s="17"/>
      <c r="N18" s="17"/>
    </row>
    <row r="19" ht="32.05" customHeight="1">
      <c r="A19" s="11"/>
      <c r="B19" s="12">
        <v>1435.1</v>
      </c>
      <c r="C19" s="12">
        <v>674</v>
      </c>
      <c r="D19" s="13">
        <v>1436</v>
      </c>
      <c r="E19" t="s" s="14">
        <v>60</v>
      </c>
      <c r="F19" s="15">
        <f>ROUND(($B19-$B18+J19)/$A$3,1)</f>
        <v>4.7</v>
      </c>
      <c r="G19" s="15">
        <f>ROUND(($C19-$C18+J19)/$A$3,1)</f>
        <v>4.8</v>
      </c>
      <c r="H19" s="15">
        <f>ROUND(($D19-$D18+J19)/$A$3,1)</f>
        <v>4.5</v>
      </c>
      <c r="I19" s="15">
        <f>ROUND(AVERAGE($B19,$D19)-AVERAGE($B18,$D18),1)</f>
        <v>95.3</v>
      </c>
      <c r="J19" s="15">
        <v>20</v>
      </c>
      <c r="K19" t="s" s="16">
        <v>40</v>
      </c>
      <c r="L19" t="s" s="16">
        <v>61</v>
      </c>
      <c r="M19" s="17"/>
      <c r="N19" s="17"/>
    </row>
    <row r="20" ht="32.05" customHeight="1">
      <c r="A20" s="11"/>
      <c r="B20" s="12">
        <v>1516</v>
      </c>
      <c r="C20" s="12">
        <v>21</v>
      </c>
      <c r="D20" s="13">
        <v>1520</v>
      </c>
      <c r="E20" t="s" s="14">
        <v>62</v>
      </c>
      <c r="F20" s="15">
        <f>ROUND(($B20-$B19+J20)/$A$3,1)</f>
        <v>3.8</v>
      </c>
      <c r="G20" s="15">
        <f>ROUND(($C20-$C19+J20+735.5)/$A$3,1)</f>
        <v>3.8</v>
      </c>
      <c r="H20" s="15">
        <f>ROUND(($D20-$D19+J20)/$A$3,1)</f>
        <v>3.9</v>
      </c>
      <c r="I20" s="15">
        <f>ROUND(AVERAGE($B20,$D20)-AVERAGE($B19,$D19),1)</f>
        <v>82.5</v>
      </c>
      <c r="J20" s="15">
        <v>13</v>
      </c>
      <c r="K20" t="s" s="16">
        <v>63</v>
      </c>
      <c r="L20" s="17"/>
      <c r="M20" t="s" s="16">
        <v>50</v>
      </c>
      <c r="N20" s="17"/>
    </row>
    <row r="21" ht="20.05" customHeight="1">
      <c r="A21" s="11"/>
      <c r="B21" s="12">
        <v>1598.1</v>
      </c>
      <c r="C21" s="12">
        <v>103</v>
      </c>
      <c r="D21" s="13">
        <v>1602</v>
      </c>
      <c r="E21" t="s" s="14">
        <v>64</v>
      </c>
      <c r="F21" s="15">
        <f>ROUND(($B21-$B20+J21)/$A$3,1)</f>
        <v>3.3</v>
      </c>
      <c r="G21" s="15">
        <f>ROUND(($C21-$C20+J21)/$A$3,1)</f>
        <v>3.3</v>
      </c>
      <c r="H21" s="15">
        <f>ROUND(($D21-$D20+J21)/$A$3,1)</f>
        <v>3.3</v>
      </c>
      <c r="I21" s="15">
        <f>ROUND(AVERAGE($B21,$D21)-AVERAGE($B20,$D20),1)</f>
        <v>82.09999999999999</v>
      </c>
      <c r="J21" s="15">
        <v>0</v>
      </c>
      <c r="K21" t="s" s="16">
        <v>33</v>
      </c>
      <c r="L21" s="17"/>
      <c r="M21" s="17"/>
      <c r="N21" s="17"/>
    </row>
    <row r="22" ht="32.05" customHeight="1">
      <c r="A22" s="11"/>
      <c r="B22" s="12">
        <v>1718.8</v>
      </c>
      <c r="C22" s="12">
        <v>224.6</v>
      </c>
      <c r="D22" s="13">
        <v>1722</v>
      </c>
      <c r="E22" t="s" s="14">
        <v>65</v>
      </c>
      <c r="F22" s="15">
        <f>ROUND(($B22-$B21+J22)/$A$3,1)</f>
        <v>6.2</v>
      </c>
      <c r="G22" s="15">
        <f>ROUND(($C22-$C21+J22)/$A$3,1)</f>
        <v>6.3</v>
      </c>
      <c r="H22" s="15">
        <f>ROUND(($D22-$D21+J22)/$A$3,1)</f>
        <v>6.2</v>
      </c>
      <c r="I22" s="15">
        <f>ROUND(AVERAGE($B22,$D22)-AVERAGE($B21,$D21),1)</f>
        <v>120.4</v>
      </c>
      <c r="J22" s="15">
        <v>35</v>
      </c>
      <c r="K22" t="s" s="16">
        <v>40</v>
      </c>
      <c r="L22" t="s" s="16">
        <v>66</v>
      </c>
      <c r="M22" t="s" s="16">
        <v>67</v>
      </c>
      <c r="N22" s="17"/>
    </row>
    <row r="23" ht="32.05" customHeight="1">
      <c r="A23" s="11"/>
      <c r="B23" s="12">
        <v>1799.5</v>
      </c>
      <c r="C23" s="12">
        <v>307.5</v>
      </c>
      <c r="D23" s="13">
        <v>1799</v>
      </c>
      <c r="E23" t="s" s="14">
        <v>68</v>
      </c>
      <c r="F23" s="15">
        <f>ROUND(($B23-$B22+J23)/$A$3,1)</f>
        <v>4.3</v>
      </c>
      <c r="G23" s="15">
        <f>ROUND(($C23-$C22+J23)/$A$3,1)</f>
        <v>4.4</v>
      </c>
      <c r="H23" s="15">
        <f>ROUND(($D23-$D22+J23)/$A$3,1)</f>
        <v>4.1</v>
      </c>
      <c r="I23" s="15">
        <f>ROUND(AVERAGE($B23,$D23)-AVERAGE($B22,$D22),1)</f>
        <v>78.90000000000001</v>
      </c>
      <c r="J23" s="15">
        <v>26</v>
      </c>
      <c r="K23" t="s" s="16">
        <v>40</v>
      </c>
      <c r="L23" t="s" s="16">
        <v>69</v>
      </c>
      <c r="M23" s="17"/>
      <c r="N23" s="17"/>
    </row>
    <row r="24" ht="44.05" customHeight="1">
      <c r="A24" s="11"/>
      <c r="B24" s="12">
        <v>1884.7</v>
      </c>
      <c r="C24" s="12">
        <v>394.6</v>
      </c>
      <c r="D24" s="13">
        <v>1884</v>
      </c>
      <c r="E24" t="s" s="14">
        <v>70</v>
      </c>
      <c r="F24" s="15">
        <f>ROUND(($B24-$B23+J24)/$A$3,1)</f>
        <v>4.5</v>
      </c>
      <c r="G24" s="15">
        <f>ROUND(($C24-$C23+J24)/$A$3,1)</f>
        <v>4.6</v>
      </c>
      <c r="H24" s="15">
        <f>ROUND(($D24-$D23+J24)/$A$3,1)</f>
        <v>4.5</v>
      </c>
      <c r="I24" s="15">
        <f>ROUND(AVERAGE($B24,$D24)-AVERAGE($B23,$D23),1)</f>
        <v>85.09999999999999</v>
      </c>
      <c r="J24" s="15">
        <v>28</v>
      </c>
      <c r="K24" t="s" s="16">
        <v>40</v>
      </c>
      <c r="L24" t="s" s="16">
        <v>71</v>
      </c>
      <c r="M24" t="s" s="16">
        <v>72</v>
      </c>
      <c r="N24" s="17"/>
    </row>
    <row r="25" ht="32.05" customHeight="1">
      <c r="A25" s="11"/>
      <c r="B25" s="12">
        <v>1984.7</v>
      </c>
      <c r="C25" s="12">
        <v>496.5</v>
      </c>
      <c r="D25" s="13">
        <v>1988</v>
      </c>
      <c r="E25" t="s" s="14">
        <v>73</v>
      </c>
      <c r="F25" s="15">
        <f>ROUND(($B25-$B24+J25)/$A$3,1)</f>
        <v>4</v>
      </c>
      <c r="G25" s="15">
        <f>ROUND(($C25-$C24+J25)/$A$3,1)</f>
        <v>4.1</v>
      </c>
      <c r="H25" s="15">
        <f>ROUND(($D25-$D24+J25)/$A$3,1)</f>
        <v>4.2</v>
      </c>
      <c r="I25" s="15">
        <f>ROUND(AVERAGE($B25,$D25)-AVERAGE($B24,$D24),1)</f>
        <v>102</v>
      </c>
      <c r="J25" s="15">
        <v>0</v>
      </c>
      <c r="K25" t="s" s="16">
        <v>74</v>
      </c>
      <c r="L25" t="s" s="16">
        <v>75</v>
      </c>
      <c r="M25" s="17"/>
      <c r="N25" s="17"/>
    </row>
    <row r="26" ht="20.05" customHeight="1">
      <c r="A26" s="11"/>
      <c r="B26" s="11"/>
      <c r="C26" s="11"/>
      <c r="D26" s="18"/>
      <c r="E26" t="s" s="14">
        <v>76</v>
      </c>
      <c r="F26" s="15">
        <f>ROUND((36.8+J26)/$A$3,1)</f>
        <v>1.5</v>
      </c>
      <c r="G26" s="15">
        <f>ROUND((40+J26)/$A$3,1)</f>
        <v>1.6</v>
      </c>
      <c r="H26" s="15">
        <f>ROUND((33.5+J26)/$A$3,1)</f>
        <v>1.3</v>
      </c>
      <c r="I26" s="15">
        <f>ROUND(33.5+J26,1)</f>
        <v>33.5</v>
      </c>
      <c r="J26" s="15">
        <v>0</v>
      </c>
      <c r="K26" t="s" s="16">
        <v>36</v>
      </c>
      <c r="L26" t="s" s="16">
        <v>77</v>
      </c>
      <c r="M26" t="s" s="16">
        <v>50</v>
      </c>
      <c r="N26" s="17"/>
    </row>
    <row r="27" ht="32.05" customHeight="1">
      <c r="A27" s="11"/>
      <c r="B27" s="12">
        <v>2130.3</v>
      </c>
      <c r="C27" s="12">
        <v>132</v>
      </c>
      <c r="D27" s="13">
        <v>2134</v>
      </c>
      <c r="E27" t="s" s="14">
        <v>78</v>
      </c>
      <c r="F27" s="15">
        <f>ROUND((69+J27)/$A$3,1)</f>
        <v>3.4</v>
      </c>
      <c r="G27" s="15">
        <f>ROUND((70.1+J27)/$A$3,1)</f>
        <v>3.4</v>
      </c>
      <c r="H27" s="15">
        <v>3.4</v>
      </c>
      <c r="I27" s="15">
        <f>ROUND(69+J27,1)</f>
        <v>84</v>
      </c>
      <c r="J27" s="15">
        <v>15</v>
      </c>
      <c r="K27" t="s" s="16">
        <v>63</v>
      </c>
      <c r="L27" t="s" s="16">
        <v>79</v>
      </c>
      <c r="M27" s="17"/>
      <c r="N27" s="17"/>
    </row>
    <row r="28" ht="32.05" customHeight="1">
      <c r="A28" s="11"/>
      <c r="B28" s="12">
        <v>2232.9</v>
      </c>
      <c r="C28" s="12">
        <v>234</v>
      </c>
      <c r="D28" s="13">
        <v>2236</v>
      </c>
      <c r="E28" t="s" s="14">
        <v>80</v>
      </c>
      <c r="F28" s="15">
        <f>ROUND(($B28-$B27+J28)/$A$3,1)</f>
        <v>4.6</v>
      </c>
      <c r="G28" s="15">
        <f>ROUND(($C28-$C27+J28)/$A$3,1)</f>
        <v>4.6</v>
      </c>
      <c r="H28" s="15">
        <f>ROUND(($D28-$D27+J28)/$A$3,1)</f>
        <v>4.6</v>
      </c>
      <c r="I28" s="15">
        <f>ROUND(AVERAGE($B28,$D28)-AVERAGE($B27,$D27),1)</f>
        <v>102.3</v>
      </c>
      <c r="J28" s="15">
        <v>13.6</v>
      </c>
      <c r="K28" t="s" s="16">
        <v>63</v>
      </c>
      <c r="L28" t="s" s="16">
        <v>81</v>
      </c>
      <c r="M28" s="17"/>
      <c r="N28" s="17"/>
    </row>
    <row r="29" ht="32.05" customHeight="1">
      <c r="A29" s="11"/>
      <c r="B29" s="12">
        <v>2354.9</v>
      </c>
      <c r="C29" s="12">
        <v>357</v>
      </c>
      <c r="D29" s="13">
        <v>2358</v>
      </c>
      <c r="E29" t="s" s="14">
        <v>82</v>
      </c>
      <c r="F29" s="15">
        <f>ROUND(($B29-$B28+J29)/$A$3,1)</f>
        <v>6.1</v>
      </c>
      <c r="G29" s="15">
        <f>ROUND(($C29-$C28+J29)/$A$3,1)</f>
        <v>6.2</v>
      </c>
      <c r="H29" s="15">
        <f>ROUND(($D29-$D28+J29)/$A$3,1)</f>
        <v>6.1</v>
      </c>
      <c r="I29" s="15">
        <f>ROUND(AVERAGE($B29,$D29)-AVERAGE($B28,$D28),1)</f>
        <v>122</v>
      </c>
      <c r="J29" s="15">
        <v>31</v>
      </c>
      <c r="K29" t="s" s="16">
        <v>33</v>
      </c>
      <c r="L29" t="s" s="16">
        <v>83</v>
      </c>
      <c r="M29" s="17"/>
      <c r="N29" s="17"/>
    </row>
    <row r="30" ht="44.05" customHeight="1">
      <c r="A30" s="11"/>
      <c r="B30" s="11"/>
      <c r="C30" s="11"/>
      <c r="D30" s="18"/>
      <c r="E30" t="s" s="14">
        <v>84</v>
      </c>
      <c r="F30" s="15">
        <f>ROUND((99.2+J30)/$A$3,1)</f>
        <v>4</v>
      </c>
      <c r="G30" s="15">
        <f>ROUND((100.9+J30)/$A$3,1)</f>
        <v>4</v>
      </c>
      <c r="H30" s="15">
        <f>ROUND((96.1+J30)/$A$3,1)</f>
        <v>3.8</v>
      </c>
      <c r="I30" s="15">
        <v>98.7</v>
      </c>
      <c r="J30" s="15">
        <v>0</v>
      </c>
      <c r="K30" t="s" s="16">
        <v>40</v>
      </c>
      <c r="L30" t="s" s="16">
        <v>85</v>
      </c>
      <c r="M30" s="17"/>
      <c r="N30" s="17"/>
    </row>
    <row r="31" ht="44.05" customHeight="1">
      <c r="A31" s="11"/>
      <c r="B31" s="12">
        <v>2618.4</v>
      </c>
      <c r="C31" s="12">
        <v>620.5</v>
      </c>
      <c r="D31" s="13">
        <v>2618</v>
      </c>
      <c r="E31" t="s" s="14">
        <v>86</v>
      </c>
      <c r="F31" s="15">
        <f>ROUND((79.2+J31)/$A$3,1)</f>
        <v>3.8</v>
      </c>
      <c r="G31" s="15">
        <f>ROUND((75.4+J31)/$A$3,1)</f>
        <v>3.7</v>
      </c>
      <c r="H31" s="15">
        <f>ROUND((78.8+J31)/$A$3,1)</f>
        <v>3.8</v>
      </c>
      <c r="I31" s="15">
        <v>77.8</v>
      </c>
      <c r="J31" s="15">
        <v>16</v>
      </c>
      <c r="K31" t="s" s="16">
        <v>33</v>
      </c>
      <c r="L31" t="s" s="16">
        <v>87</v>
      </c>
      <c r="M31" t="s" s="16">
        <v>88</v>
      </c>
      <c r="N31" s="17"/>
    </row>
    <row r="32" ht="32.05" customHeight="1">
      <c r="A32" s="11"/>
      <c r="B32" s="12">
        <v>2687.6</v>
      </c>
      <c r="C32" s="12">
        <v>689.5</v>
      </c>
      <c r="D32" s="13">
        <v>2686</v>
      </c>
      <c r="E32" t="s" s="14">
        <v>89</v>
      </c>
      <c r="F32" s="15">
        <f>ROUND(($B32-$B31+J32)/$A$3,1)</f>
        <v>3.5</v>
      </c>
      <c r="G32" s="15">
        <f>ROUND(($C32-$C31+J32)/$A$3,1)</f>
        <v>3.5</v>
      </c>
      <c r="H32" s="15">
        <f>ROUND(($D32-$D31+J32)/$A$3,1)</f>
        <v>3.4</v>
      </c>
      <c r="I32" s="15">
        <f>ROUND(AVERAGE($B32,$D32)-AVERAGE($B31,$D31),1)</f>
        <v>68.59999999999999</v>
      </c>
      <c r="J32" s="15">
        <v>18</v>
      </c>
      <c r="K32" t="s" s="16">
        <v>90</v>
      </c>
      <c r="L32" t="s" s="16">
        <v>91</v>
      </c>
      <c r="M32" s="17"/>
      <c r="N32" s="17"/>
    </row>
    <row r="33" ht="44.05" customHeight="1">
      <c r="A33" s="11"/>
      <c r="B33" s="12">
        <v>2744.9</v>
      </c>
      <c r="C33" s="12">
        <v>747.25</v>
      </c>
      <c r="D33" s="13">
        <v>2744</v>
      </c>
      <c r="E33" t="s" s="14">
        <v>92</v>
      </c>
      <c r="F33" s="15">
        <f>ROUND(($B33-$B32+J33)/$A$3,1)</f>
        <v>3.5</v>
      </c>
      <c r="G33" s="15">
        <f>ROUND(($C33-$C32+J33)/$A$3,1)</f>
        <v>3.5</v>
      </c>
      <c r="H33" s="15">
        <f>ROUND(($D33-$D32+J33)/$A$3,1)</f>
        <v>3.5</v>
      </c>
      <c r="I33" s="15">
        <f>ROUND(AVERAGE($B33,$D33)-AVERAGE($B32,$D32),1)</f>
        <v>57.7</v>
      </c>
      <c r="J33" s="15">
        <v>30</v>
      </c>
      <c r="K33" t="s" s="16">
        <v>90</v>
      </c>
      <c r="L33" t="s" s="16">
        <v>93</v>
      </c>
      <c r="M33" t="s" s="16">
        <v>50</v>
      </c>
      <c r="N33" s="17"/>
    </row>
    <row r="34" ht="32.05" customHeight="1">
      <c r="A34" s="11"/>
      <c r="B34" s="12">
        <v>2878.3</v>
      </c>
      <c r="C34" s="12">
        <v>882</v>
      </c>
      <c r="D34" s="13">
        <v>2877</v>
      </c>
      <c r="E34" t="s" s="14">
        <v>94</v>
      </c>
      <c r="F34" s="15">
        <f>ROUND(($B34-$B33+J34)/$A$3,1)</f>
        <v>5.3</v>
      </c>
      <c r="G34" s="15">
        <f>ROUND(($C34-$C33+J34)/$A$3,1)</f>
        <v>5.4</v>
      </c>
      <c r="H34" s="15">
        <f>ROUND(($D34-$D33+J34)/$A$3,1)</f>
        <v>5.3</v>
      </c>
      <c r="I34" s="15">
        <f>ROUND(AVERAGE($B34,$D34)-AVERAGE($B33,$D33),1)</f>
        <v>133.2</v>
      </c>
      <c r="J34" s="15">
        <v>0</v>
      </c>
      <c r="K34" t="s" s="16">
        <v>95</v>
      </c>
      <c r="L34" s="17"/>
      <c r="M34" s="17"/>
      <c r="N34" s="17"/>
    </row>
    <row r="35" ht="20.05" customHeight="1">
      <c r="A35" s="11"/>
      <c r="B35" s="12">
        <v>2976.4</v>
      </c>
      <c r="C35" s="12">
        <v>981.5</v>
      </c>
      <c r="D35" s="13">
        <v>2976.4</v>
      </c>
      <c r="E35" t="s" s="14">
        <v>96</v>
      </c>
      <c r="F35" s="15">
        <f>ROUND(($B35-$B34+J35)/$A$3,1)</f>
        <v>3.9</v>
      </c>
      <c r="G35" s="15">
        <f>ROUND(($C35-$C34+J35)/$A$3,1)</f>
        <v>4</v>
      </c>
      <c r="H35" s="15">
        <f>ROUND(($D35-$D34+J35)/$A$3,1)</f>
        <v>4</v>
      </c>
      <c r="I35" s="15">
        <f>ROUND(AVERAGE($B35,$D35)-AVERAGE($B34,$D34),1)</f>
        <v>98.8</v>
      </c>
      <c r="J35" s="15">
        <v>0</v>
      </c>
      <c r="K35" s="17"/>
      <c r="L35" s="17"/>
      <c r="M35" s="17"/>
      <c r="N35" s="17"/>
    </row>
    <row r="36" ht="20.05" customHeight="1">
      <c r="A36" s="11"/>
      <c r="B36" s="11"/>
      <c r="C36" s="11"/>
      <c r="D36" s="18"/>
      <c r="E36" s="19"/>
      <c r="F36" s="15">
        <f>SUM(F3:F35)</f>
        <v>125.3</v>
      </c>
      <c r="G36" s="15">
        <f>SUM(G3:G35)</f>
        <v>127</v>
      </c>
      <c r="H36" s="15">
        <f>SUM(H3:H35)</f>
        <v>125</v>
      </c>
      <c r="I36" s="15">
        <f>SUM(I3:I35)</f>
        <v>2793.9</v>
      </c>
      <c r="J36" s="15">
        <f>SUM(J3:J35)</f>
        <v>349.1</v>
      </c>
      <c r="K36" s="17"/>
      <c r="L36" s="17"/>
      <c r="M36" s="17"/>
      <c r="N36" s="17"/>
    </row>
  </sheetData>
  <mergeCells count="1">
    <mergeCell ref="A1:N1"/>
  </mergeCells>
  <pageMargins left="0.5" right="0.5" top="0.75" bottom="0.75" header="0.277778" footer="0.277778"/>
  <pageSetup firstPageNumber="1" fitToHeight="1" fitToWidth="1" scale="59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